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pulsion\"/>
    </mc:Choice>
  </mc:AlternateContent>
  <bookViews>
    <workbookView xWindow="480" yWindow="75" windowWidth="22110" windowHeight="9525"/>
  </bookViews>
  <sheets>
    <sheet name="High BPR " sheetId="4" r:id="rId1"/>
    <sheet name="Low BPR + afterburn" sheetId="1" r:id="rId2"/>
    <sheet name="Feuil2" sheetId="2" r:id="rId3"/>
    <sheet name="Feuil3" sheetId="3" r:id="rId4"/>
  </sheets>
  <calcPr calcId="162913"/>
</workbook>
</file>

<file path=xl/calcChain.xml><?xml version="1.0" encoding="utf-8"?>
<calcChain xmlns="http://schemas.openxmlformats.org/spreadsheetml/2006/main">
  <c r="B3" i="4" l="1"/>
  <c r="C3" i="4" s="1"/>
  <c r="C4" i="4" s="1"/>
  <c r="B4" i="4" l="1"/>
  <c r="B7" i="4" s="1"/>
  <c r="B8" i="4" s="1"/>
  <c r="B9" i="4" s="1"/>
  <c r="C7" i="4"/>
  <c r="F4" i="2"/>
  <c r="F5" i="2" s="1"/>
  <c r="F9" i="2" s="1"/>
  <c r="F10" i="2" s="1"/>
  <c r="F11" i="2" s="1"/>
  <c r="D4" i="2"/>
  <c r="D5" i="2" s="1"/>
  <c r="D9" i="2" s="1"/>
  <c r="D10" i="2" s="1"/>
  <c r="D11" i="2" s="1"/>
  <c r="B4" i="2"/>
  <c r="B5" i="2" s="1"/>
  <c r="B17" i="1"/>
  <c r="B18" i="1" s="1"/>
  <c r="G19" i="1"/>
  <c r="G22" i="1"/>
  <c r="G23" i="1" s="1"/>
  <c r="G24" i="1" s="1"/>
  <c r="G17" i="1"/>
  <c r="G18" i="1" s="1"/>
  <c r="H20" i="1" s="1"/>
  <c r="G3" i="1"/>
  <c r="G4" i="1" s="1"/>
  <c r="B3" i="1"/>
  <c r="B4" i="1" s="1"/>
  <c r="C5" i="4" l="1"/>
  <c r="C8" i="4"/>
  <c r="C10" i="4" s="1"/>
  <c r="C11" i="4" s="1"/>
  <c r="G4" i="2"/>
  <c r="G5" i="2" s="1"/>
  <c r="G9" i="2" s="1"/>
  <c r="G10" i="2" s="1"/>
  <c r="G12" i="2"/>
  <c r="F12" i="2"/>
  <c r="G7" i="2"/>
  <c r="E4" i="2"/>
  <c r="E5" i="2" s="1"/>
  <c r="E9" i="2" s="1"/>
  <c r="E10" i="2" s="1"/>
  <c r="D12" i="2" s="1"/>
  <c r="B9" i="2"/>
  <c r="B10" i="2" s="1"/>
  <c r="B11" i="2" s="1"/>
  <c r="C4" i="2"/>
  <c r="C5" i="2" s="1"/>
  <c r="C9" i="2" s="1"/>
  <c r="C10" i="2" s="1"/>
  <c r="B21" i="1"/>
  <c r="B22" i="1" s="1"/>
  <c r="B23" i="1" s="1"/>
  <c r="C17" i="1"/>
  <c r="C18" i="1" s="1"/>
  <c r="C21" i="1" s="1"/>
  <c r="C22" i="1" s="1"/>
  <c r="H25" i="1"/>
  <c r="H17" i="1"/>
  <c r="H18" i="1" s="1"/>
  <c r="H22" i="1" s="1"/>
  <c r="H23" i="1" s="1"/>
  <c r="G25" i="1" s="1"/>
  <c r="B7" i="1"/>
  <c r="C3" i="1"/>
  <c r="C4" i="1" s="1"/>
  <c r="C7" i="1" s="1"/>
  <c r="C8" i="1" s="1"/>
  <c r="C10" i="1" s="1"/>
  <c r="C11" i="1" s="1"/>
  <c r="G7" i="1"/>
  <c r="G8" i="1" s="1"/>
  <c r="G9" i="1" s="1"/>
  <c r="H3" i="1"/>
  <c r="H4" i="1" s="1"/>
  <c r="H7" i="1" s="1"/>
  <c r="H8" i="1" s="1"/>
  <c r="B10" i="4" l="1"/>
  <c r="B11" i="4"/>
  <c r="C12" i="4" s="1"/>
  <c r="H5" i="1"/>
  <c r="E7" i="2"/>
  <c r="G13" i="2"/>
  <c r="F13" i="2"/>
  <c r="G14" i="2" s="1"/>
  <c r="G16" i="2" s="1"/>
  <c r="G18" i="2" s="1"/>
  <c r="E12" i="2"/>
  <c r="E13" i="2" s="1"/>
  <c r="C12" i="2"/>
  <c r="B12" i="2"/>
  <c r="C7" i="2"/>
  <c r="C24" i="1"/>
  <c r="B24" i="1"/>
  <c r="C19" i="1"/>
  <c r="G26" i="1"/>
  <c r="H26" i="1"/>
  <c r="B8" i="1"/>
  <c r="B9" i="1" s="1"/>
  <c r="B10" i="1" s="1"/>
  <c r="B11" i="1" s="1"/>
  <c r="C5" i="1"/>
  <c r="G10" i="1"/>
  <c r="H10" i="1"/>
  <c r="D13" i="2" l="1"/>
  <c r="C13" i="2"/>
  <c r="B13" i="2"/>
  <c r="C25" i="1"/>
  <c r="B25" i="1"/>
  <c r="H27" i="1"/>
  <c r="H28" i="1"/>
  <c r="C13" i="1"/>
  <c r="C12" i="1"/>
  <c r="H11" i="1"/>
  <c r="G11" i="1"/>
  <c r="E15" i="2" l="1"/>
  <c r="E17" i="2" s="1"/>
  <c r="E14" i="2"/>
  <c r="E16" i="2" s="1"/>
  <c r="E18" i="2" s="1"/>
  <c r="C14" i="2"/>
  <c r="C16" i="2" s="1"/>
  <c r="C18" i="2" s="1"/>
  <c r="C27" i="1"/>
  <c r="C26" i="1"/>
  <c r="C29" i="1" s="1"/>
  <c r="H13" i="1"/>
  <c r="H12" i="1"/>
  <c r="E19" i="2" l="1"/>
</calcChain>
</file>

<file path=xl/sharedStrings.xml><?xml version="1.0" encoding="utf-8"?>
<sst xmlns="http://schemas.openxmlformats.org/spreadsheetml/2006/main" count="194" uniqueCount="39">
  <si>
    <t>Pt (Pa)</t>
  </si>
  <si>
    <t>Tt (K)</t>
  </si>
  <si>
    <t>1bar, 27°C</t>
  </si>
  <si>
    <t>FPR=2, if adiabatic : T2ad/T1=FPR^(0.4/1.4) , as efficiency 0.9 : (T2-T1) = (T2ad-T1)/0.9</t>
  </si>
  <si>
    <t>Nozzle</t>
  </si>
  <si>
    <t>Ve = sqrt((P2-Pamb)/0.5rho), to determine rho : Ps=Pamb, Ts/T2=(Pamb/P2)^(0.4/1.4)</t>
  </si>
  <si>
    <t>Pt=Pamb + 1/2 rho V² , Ttt/Tamb=(Pt/Pamb)^((gamma-1)/gamma)</t>
  </si>
  <si>
    <t>Ambiant Pamb/Tamb</t>
  </si>
  <si>
    <t>Fan inlet P1/T1</t>
  </si>
  <si>
    <t>Fan outlet P2/T2</t>
  </si>
  <si>
    <t>Ve (m/s) =</t>
  </si>
  <si>
    <t>Station</t>
  </si>
  <si>
    <t>GG inlet P2/T2</t>
  </si>
  <si>
    <t>Combustion inlet P3/T3</t>
  </si>
  <si>
    <t>0.85 efficiency : (T2-T1) = (T2ad-T1)/0.85</t>
  </si>
  <si>
    <t>T4 = 1450K for uncooled turbine (1700 to 1850K for cooled turbines) ; 2% pressure drop</t>
  </si>
  <si>
    <t>Combustion outlet P4/T4</t>
  </si>
  <si>
    <t>0.9 efficiency : (T4-T5) = (T3-T2)/0.9 ; T5ad = T4-0.9*(T4-T5) = T4-T3+T2</t>
  </si>
  <si>
    <t>HP Turbine outlet T5/P5</t>
  </si>
  <si>
    <t>LP turbine outlet T6/P6</t>
  </si>
  <si>
    <t>0.9 efficiency : (T5-T6) = (T2-T1).(1+1)/0.9</t>
  </si>
  <si>
    <t>Cold nozzle</t>
  </si>
  <si>
    <t>Ve = sqrt((P6-Pamb)/0.5rho), to determine rho : Ps=Pamb, Ts/T6=(Pamb/P6)^(0.4/1.4)</t>
  </si>
  <si>
    <t>here, Ts/1400=(Pamb/P6)^(0.4/1.4)</t>
  </si>
  <si>
    <t>1400K nozzle</t>
  </si>
  <si>
    <t>M0.8</t>
  </si>
  <si>
    <t>M1.2</t>
  </si>
  <si>
    <t>Fan Station</t>
  </si>
  <si>
    <t>Core Station</t>
  </si>
  <si>
    <t>Fan afterburning</t>
  </si>
  <si>
    <t>Ve = sqrt((P2-Pamb)/0.5rho), to determine rho : Ps=Pamb, Ts/1400=(Pamb/P2)^(0.4/1.4)</t>
  </si>
  <si>
    <t>T/q (kN/kg)</t>
  </si>
  <si>
    <t>cold</t>
  </si>
  <si>
    <t>afterburned</t>
  </si>
  <si>
    <t>Etaprop</t>
  </si>
  <si>
    <t>1200K afterburning</t>
  </si>
  <si>
    <t>0.85 efficiency : (T2-T1) = (T2ad-T1)/0.85 ; PR = 20</t>
  </si>
  <si>
    <t>0.94 efficiency : (T5-T6) = (T2-T1).(1+BPR)/0.94</t>
  </si>
  <si>
    <t>FPR=1.4, if adiabatic : T2ad/T1=FPR^(0.4/1.4) , as efficiency 0.94 : (T2-T1) = (T2ad-T1)/0.94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</si>
</sst>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" xfId="0" applyBorder="1"/>
    <xf numFmtId="0" fontId="0" fillId="2" borderId="9" xfId="0" applyFill="1" applyBorder="1"/>
    <xf numFmtId="0" fontId="0" fillId="3" borderId="10" xfId="0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0" fontId="0" fillId="4" borderId="10" xfId="0" applyFill="1" applyBorder="1"/>
    <xf numFmtId="1" fontId="0" fillId="4" borderId="7" xfId="0" applyNumberFormat="1" applyFill="1" applyBorder="1"/>
    <xf numFmtId="1" fontId="0" fillId="4" borderId="8" xfId="0" applyNumberFormat="1" applyFill="1" applyBorder="1"/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1" fontId="3" fillId="0" borderId="4" xfId="0" applyNumberFormat="1" applyFont="1" applyBorder="1"/>
    <xf numFmtId="1" fontId="0" fillId="6" borderId="12" xfId="0" applyNumberFormat="1" applyFill="1" applyBorder="1"/>
    <xf numFmtId="1" fontId="0" fillId="6" borderId="14" xfId="0" applyNumberFormat="1" applyFill="1" applyBorder="1"/>
    <xf numFmtId="0" fontId="0" fillId="6" borderId="12" xfId="0" applyFill="1" applyBorder="1"/>
    <xf numFmtId="0" fontId="0" fillId="6" borderId="14" xfId="0" applyFill="1" applyBorder="1"/>
    <xf numFmtId="0" fontId="0" fillId="7" borderId="12" xfId="0" applyFill="1" applyBorder="1"/>
    <xf numFmtId="1" fontId="0" fillId="7" borderId="12" xfId="0" applyNumberFormat="1" applyFill="1" applyBorder="1"/>
    <xf numFmtId="1" fontId="0" fillId="7" borderId="14" xfId="0" applyNumberFormat="1" applyFill="1" applyBorder="1"/>
    <xf numFmtId="0" fontId="0" fillId="7" borderId="14" xfId="0" applyFill="1" applyBorder="1"/>
    <xf numFmtId="0" fontId="0" fillId="8" borderId="5" xfId="0" applyFill="1" applyBorder="1"/>
    <xf numFmtId="1" fontId="0" fillId="8" borderId="5" xfId="0" applyNumberFormat="1" applyFill="1" applyBorder="1"/>
    <xf numFmtId="1" fontId="0" fillId="8" borderId="6" xfId="0" applyNumberFormat="1" applyFill="1" applyBorder="1"/>
    <xf numFmtId="0" fontId="0" fillId="3" borderId="7" xfId="0" applyFill="1" applyBorder="1"/>
    <xf numFmtId="0" fontId="0" fillId="3" borderId="8" xfId="0" applyFill="1" applyBorder="1"/>
    <xf numFmtId="0" fontId="0" fillId="9" borderId="7" xfId="0" applyFill="1" applyBorder="1"/>
    <xf numFmtId="1" fontId="0" fillId="9" borderId="7" xfId="0" applyNumberFormat="1" applyFill="1" applyBorder="1"/>
    <xf numFmtId="0" fontId="0" fillId="9" borderId="8" xfId="0" applyFill="1" applyBorder="1"/>
    <xf numFmtId="0" fontId="4" fillId="0" borderId="2" xfId="0" applyFont="1" applyBorder="1" applyAlignment="1">
      <alignment horizontal="right"/>
    </xf>
    <xf numFmtId="1" fontId="4" fillId="0" borderId="6" xfId="0" applyNumberFormat="1" applyFont="1" applyBorder="1"/>
    <xf numFmtId="0" fontId="0" fillId="0" borderId="0" xfId="0" applyFill="1" applyBorder="1"/>
    <xf numFmtId="0" fontId="0" fillId="2" borderId="5" xfId="0" applyFill="1" applyBorder="1"/>
    <xf numFmtId="0" fontId="0" fillId="2" borderId="6" xfId="0" applyFill="1" applyBorder="1"/>
    <xf numFmtId="0" fontId="4" fillId="0" borderId="2" xfId="0" applyFont="1" applyBorder="1"/>
    <xf numFmtId="1" fontId="4" fillId="0" borderId="4" xfId="0" applyNumberFormat="1" applyFont="1" applyBorder="1"/>
    <xf numFmtId="0" fontId="0" fillId="0" borderId="6" xfId="0" applyFill="1" applyBorder="1"/>
    <xf numFmtId="0" fontId="0" fillId="6" borderId="10" xfId="0" applyFill="1" applyBorder="1"/>
    <xf numFmtId="1" fontId="0" fillId="6" borderId="7" xfId="0" applyNumberFormat="1" applyFill="1" applyBorder="1"/>
    <xf numFmtId="1" fontId="0" fillId="6" borderId="8" xfId="0" applyNumberFormat="1" applyFill="1" applyBorder="1"/>
    <xf numFmtId="0" fontId="0" fillId="11" borderId="10" xfId="0" applyFill="1" applyBorder="1"/>
    <xf numFmtId="1" fontId="0" fillId="11" borderId="7" xfId="0" applyNumberFormat="1" applyFill="1" applyBorder="1"/>
    <xf numFmtId="1" fontId="0" fillId="11" borderId="8" xfId="0" applyNumberFormat="1" applyFill="1" applyBorder="1"/>
    <xf numFmtId="1" fontId="0" fillId="3" borderId="0" xfId="0" applyNumberFormat="1" applyFill="1" applyBorder="1"/>
    <xf numFmtId="0" fontId="0" fillId="2" borderId="15" xfId="0" applyFill="1" applyBorder="1"/>
    <xf numFmtId="0" fontId="0" fillId="2" borderId="16" xfId="0" applyFill="1" applyBorder="1"/>
    <xf numFmtId="0" fontId="4" fillId="0" borderId="5" xfId="0" applyFont="1" applyBorder="1" applyAlignment="1">
      <alignment horizontal="right"/>
    </xf>
    <xf numFmtId="0" fontId="0" fillId="0" borderId="11" xfId="0" applyBorder="1"/>
    <xf numFmtId="0" fontId="0" fillId="0" borderId="3" xfId="0" applyBorder="1"/>
    <xf numFmtId="1" fontId="0" fillId="4" borderId="0" xfId="0" applyNumberFormat="1" applyFill="1" applyBorder="1"/>
    <xf numFmtId="1" fontId="0" fillId="11" borderId="0" xfId="0" applyNumberFormat="1" applyFill="1" applyBorder="1"/>
    <xf numFmtId="0" fontId="3" fillId="0" borderId="3" xfId="0" applyFont="1" applyBorder="1" applyAlignment="1">
      <alignment horizontal="right"/>
    </xf>
    <xf numFmtId="1" fontId="0" fillId="8" borderId="11" xfId="0" applyNumberFormat="1" applyFill="1" applyBorder="1"/>
    <xf numFmtId="1" fontId="0" fillId="9" borderId="0" xfId="0" applyNumberFormat="1" applyFill="1" applyBorder="1"/>
    <xf numFmtId="1" fontId="0" fillId="7" borderId="13" xfId="0" applyNumberFormat="1" applyFill="1" applyBorder="1"/>
    <xf numFmtId="1" fontId="0" fillId="6" borderId="13" xfId="0" applyNumberFormat="1" applyFill="1" applyBorder="1"/>
    <xf numFmtId="0" fontId="4" fillId="0" borderId="11" xfId="0" applyFont="1" applyBorder="1" applyAlignment="1">
      <alignment horizontal="right"/>
    </xf>
    <xf numFmtId="0" fontId="2" fillId="0" borderId="5" xfId="0" applyFont="1" applyBorder="1"/>
    <xf numFmtId="1" fontId="2" fillId="0" borderId="6" xfId="0" applyNumberFormat="1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13" xfId="0" applyFont="1" applyBorder="1"/>
    <xf numFmtId="1" fontId="2" fillId="10" borderId="6" xfId="0" applyNumberFormat="1" applyFont="1" applyFill="1" applyBorder="1"/>
    <xf numFmtId="1" fontId="2" fillId="5" borderId="14" xfId="0" applyNumberFormat="1" applyFont="1" applyFill="1" applyBorder="1"/>
    <xf numFmtId="0" fontId="5" fillId="0" borderId="5" xfId="0" applyFont="1" applyBorder="1"/>
    <xf numFmtId="9" fontId="5" fillId="0" borderId="6" xfId="1" applyFont="1" applyBorder="1"/>
    <xf numFmtId="0" fontId="5" fillId="0" borderId="12" xfId="0" applyFont="1" applyBorder="1"/>
    <xf numFmtId="0" fontId="5" fillId="0" borderId="14" xfId="0" applyFont="1" applyBorder="1"/>
    <xf numFmtId="9" fontId="5" fillId="0" borderId="14" xfId="1" applyFont="1" applyBorder="1"/>
    <xf numFmtId="0" fontId="0" fillId="8" borderId="9" xfId="0" applyFill="1" applyBorder="1"/>
    <xf numFmtId="0" fontId="0" fillId="9" borderId="10" xfId="0" applyFill="1" applyBorder="1"/>
    <xf numFmtId="0" fontId="0" fillId="7" borderId="17" xfId="0" applyFill="1" applyBorder="1"/>
    <xf numFmtId="0" fontId="0" fillId="6" borderId="17" xfId="0" applyFill="1" applyBorder="1"/>
    <xf numFmtId="0" fontId="4" fillId="0" borderId="9" xfId="0" applyFont="1" applyBorder="1"/>
    <xf numFmtId="0" fontId="0" fillId="2" borderId="11" xfId="0" applyFill="1" applyBorder="1"/>
    <xf numFmtId="0" fontId="5" fillId="0" borderId="11" xfId="0" applyFont="1" applyBorder="1"/>
    <xf numFmtId="0" fontId="5" fillId="0" borderId="13" xfId="0" applyFont="1" applyBorder="1"/>
    <xf numFmtId="1" fontId="0" fillId="3" borderId="18" xfId="0" applyNumberFormat="1" applyFill="1" applyBorder="1"/>
    <xf numFmtId="1" fontId="0" fillId="3" borderId="19" xfId="0" applyNumberFormat="1" applyFill="1" applyBorder="1"/>
    <xf numFmtId="0" fontId="2" fillId="10" borderId="5" xfId="0" applyFont="1" applyFill="1" applyBorder="1"/>
    <xf numFmtId="0" fontId="2" fillId="5" borderId="12" xfId="0" applyFont="1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FF99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D29" sqref="D29"/>
    </sheetView>
  </sheetViews>
  <sheetFormatPr baseColWidth="10" defaultRowHeight="15" x14ac:dyDescent="0.25"/>
  <cols>
    <col min="1" max="1" width="24.140625" customWidth="1"/>
    <col min="4" max="4" width="77" customWidth="1"/>
  </cols>
  <sheetData>
    <row r="1" spans="1:4" ht="15.75" thickBot="1" x14ac:dyDescent="0.3">
      <c r="A1" t="s">
        <v>11</v>
      </c>
      <c r="B1" s="1" t="s">
        <v>0</v>
      </c>
      <c r="C1" s="2" t="s">
        <v>1</v>
      </c>
      <c r="D1" s="37" t="s">
        <v>25</v>
      </c>
    </row>
    <row r="2" spans="1:4" x14ac:dyDescent="0.25">
      <c r="A2" s="9" t="s">
        <v>7</v>
      </c>
      <c r="B2" s="38">
        <v>100000</v>
      </c>
      <c r="C2" s="39">
        <v>300</v>
      </c>
      <c r="D2" s="9" t="s">
        <v>2</v>
      </c>
    </row>
    <row r="3" spans="1:4" x14ac:dyDescent="0.25">
      <c r="A3" s="10" t="s">
        <v>8</v>
      </c>
      <c r="B3" s="11">
        <f>B2+0.5*(B2/C2/287.02)*(0.8*340)^2</f>
        <v>142961.0015562214</v>
      </c>
      <c r="C3" s="12">
        <f>(B3/B2)^(0.4/1.4)*C2</f>
        <v>332.25317161742498</v>
      </c>
      <c r="D3" s="10" t="s">
        <v>6</v>
      </c>
    </row>
    <row r="4" spans="1:4" ht="15.75" thickBot="1" x14ac:dyDescent="0.3">
      <c r="A4" s="13" t="s">
        <v>9</v>
      </c>
      <c r="B4" s="14">
        <f>B3*1.4</f>
        <v>200145.40217870995</v>
      </c>
      <c r="C4" s="15">
        <f>((2^(0.4/1.4)-1)/0.94+1)*C3</f>
        <v>409.66591761418982</v>
      </c>
      <c r="D4" s="13" t="s">
        <v>38</v>
      </c>
    </row>
    <row r="5" spans="1:4" ht="15.75" thickBot="1" x14ac:dyDescent="0.3">
      <c r="A5" s="16" t="s">
        <v>4</v>
      </c>
      <c r="B5" s="17" t="s">
        <v>10</v>
      </c>
      <c r="C5" s="18">
        <f>SQRT((B4-B2)/0.5/(B2/287.02/((B2/B4)^(0.4/1.4)*C4)))</f>
        <v>439.49316818136464</v>
      </c>
      <c r="D5" s="8" t="s">
        <v>5</v>
      </c>
    </row>
    <row r="6" spans="1:4" ht="15.75" thickBot="1" x14ac:dyDescent="0.3">
      <c r="A6" s="5" t="s">
        <v>11</v>
      </c>
      <c r="B6" s="3" t="s">
        <v>0</v>
      </c>
      <c r="C6" s="4" t="s">
        <v>1</v>
      </c>
      <c r="D6" s="6"/>
    </row>
    <row r="7" spans="1:4" x14ac:dyDescent="0.25">
      <c r="A7" s="27" t="s">
        <v>12</v>
      </c>
      <c r="B7" s="28">
        <f>B4</f>
        <v>200145.40217870995</v>
      </c>
      <c r="C7" s="29">
        <f>C4</f>
        <v>409.66591761418982</v>
      </c>
      <c r="D7" s="4"/>
    </row>
    <row r="8" spans="1:4" x14ac:dyDescent="0.25">
      <c r="A8" s="30" t="s">
        <v>13</v>
      </c>
      <c r="B8" s="11">
        <f>B7*20</f>
        <v>4002908.0435741991</v>
      </c>
      <c r="C8" s="12">
        <f>C7*(((B8/B7)^(0.4/1.4)-1)/0.85+1)</f>
        <v>1062.0212472860333</v>
      </c>
      <c r="D8" s="31" t="s">
        <v>36</v>
      </c>
    </row>
    <row r="9" spans="1:4" x14ac:dyDescent="0.25">
      <c r="A9" s="32" t="s">
        <v>16</v>
      </c>
      <c r="B9" s="33">
        <f>0.98*B8</f>
        <v>3922849.8827027152</v>
      </c>
      <c r="C9" s="34">
        <v>1850</v>
      </c>
      <c r="D9" s="34" t="s">
        <v>15</v>
      </c>
    </row>
    <row r="10" spans="1:4" ht="15.75" thickBot="1" x14ac:dyDescent="0.3">
      <c r="A10" s="23" t="s">
        <v>18</v>
      </c>
      <c r="B10" s="24">
        <f>((C9-C8+C7)/C9)^(1.4/0.4)*B9</f>
        <v>856344.65484482935</v>
      </c>
      <c r="C10" s="25">
        <f>C9-(C8-C7)/0.9</f>
        <v>1125.1607448090626</v>
      </c>
      <c r="D10" s="26" t="s">
        <v>17</v>
      </c>
    </row>
    <row r="11" spans="1:4" ht="15.75" thickBot="1" x14ac:dyDescent="0.3">
      <c r="A11" s="21" t="s">
        <v>19</v>
      </c>
      <c r="B11" s="19">
        <f>((C10-2*(C4-C3))/C10)^(1.4/0.4)*B10</f>
        <v>510063.12121642567</v>
      </c>
      <c r="C11" s="20">
        <f>C10-(C4-C3)*11/0.94</f>
        <v>219.26690867670811</v>
      </c>
      <c r="D11" s="22" t="s">
        <v>37</v>
      </c>
    </row>
    <row r="12" spans="1:4" ht="15.75" thickBot="1" x14ac:dyDescent="0.3">
      <c r="A12" s="16" t="s">
        <v>21</v>
      </c>
      <c r="B12" s="17" t="s">
        <v>10</v>
      </c>
      <c r="C12" s="18">
        <f>SQRT((B11-B2)/0.5/(B2/287.02/((B2/B11)^(0.4/1.4)*C11)))</f>
        <v>569.23795433330395</v>
      </c>
      <c r="D12" s="8" t="s">
        <v>22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C36" sqref="C36"/>
    </sheetView>
  </sheetViews>
  <sheetFormatPr baseColWidth="10" defaultRowHeight="15" x14ac:dyDescent="0.25"/>
  <cols>
    <col min="1" max="1" width="24.140625" customWidth="1"/>
    <col min="4" max="4" width="77" customWidth="1"/>
    <col min="6" max="6" width="21.5703125" bestFit="1" customWidth="1"/>
    <col min="9" max="9" width="72.85546875" bestFit="1" customWidth="1"/>
  </cols>
  <sheetData>
    <row r="1" spans="1:9" ht="15.75" thickBot="1" x14ac:dyDescent="0.3">
      <c r="A1" t="s">
        <v>11</v>
      </c>
      <c r="B1" s="1" t="s">
        <v>0</v>
      </c>
      <c r="C1" s="2" t="s">
        <v>1</v>
      </c>
      <c r="D1" s="37" t="s">
        <v>25</v>
      </c>
      <c r="F1" s="3" t="s">
        <v>27</v>
      </c>
      <c r="G1" s="1" t="s">
        <v>0</v>
      </c>
      <c r="H1" s="2" t="s">
        <v>1</v>
      </c>
      <c r="I1" s="42" t="s">
        <v>26</v>
      </c>
    </row>
    <row r="2" spans="1:9" x14ac:dyDescent="0.25">
      <c r="A2" s="9" t="s">
        <v>7</v>
      </c>
      <c r="B2" s="38">
        <v>100000</v>
      </c>
      <c r="C2" s="39">
        <v>300</v>
      </c>
      <c r="D2" s="9" t="s">
        <v>2</v>
      </c>
      <c r="F2" s="9" t="s">
        <v>7</v>
      </c>
      <c r="G2" s="38">
        <v>100000</v>
      </c>
      <c r="H2" s="39">
        <v>300</v>
      </c>
      <c r="I2" s="9" t="s">
        <v>2</v>
      </c>
    </row>
    <row r="3" spans="1:9" x14ac:dyDescent="0.25">
      <c r="A3" s="10" t="s">
        <v>8</v>
      </c>
      <c r="B3" s="11">
        <f>B2+0.5*(B2/C2/287.02)*(0.8*340)^2</f>
        <v>142961.0015562214</v>
      </c>
      <c r="C3" s="12">
        <f>(B3/B2)^(0.4/1.4)*C2</f>
        <v>332.25317161742498</v>
      </c>
      <c r="D3" s="10" t="s">
        <v>6</v>
      </c>
      <c r="F3" s="10" t="s">
        <v>8</v>
      </c>
      <c r="G3" s="11">
        <f>G2+0.5*(G2/H2/287.02)*(1.2*340)^2</f>
        <v>196662.25350149814</v>
      </c>
      <c r="H3" s="12">
        <f>(G3/G2)^(0.4/1.4)*H2</f>
        <v>363.94984911578922</v>
      </c>
      <c r="I3" s="10" t="s">
        <v>6</v>
      </c>
    </row>
    <row r="4" spans="1:9" ht="15.75" thickBot="1" x14ac:dyDescent="0.3">
      <c r="A4" s="13" t="s">
        <v>9</v>
      </c>
      <c r="B4" s="14">
        <f>B3*2</f>
        <v>285922.00311244279</v>
      </c>
      <c r="C4" s="15">
        <f>((2^(0.4/1.4)-1)/0.9+1)*C3</f>
        <v>413.10648410293487</v>
      </c>
      <c r="D4" s="13" t="s">
        <v>3</v>
      </c>
      <c r="F4" s="13" t="s">
        <v>9</v>
      </c>
      <c r="G4" s="14">
        <f>G3*2</f>
        <v>393324.50700299628</v>
      </c>
      <c r="H4" s="15">
        <f>((2^(0.4/1.4)-1)/0.9+1)*H3</f>
        <v>452.51650067358526</v>
      </c>
      <c r="I4" s="13" t="s">
        <v>3</v>
      </c>
    </row>
    <row r="5" spans="1:9" ht="15.75" thickBot="1" x14ac:dyDescent="0.3">
      <c r="A5" s="16" t="s">
        <v>4</v>
      </c>
      <c r="B5" s="17" t="s">
        <v>10</v>
      </c>
      <c r="C5" s="18">
        <f>SQRT((B4-B2)/0.5/(B2/287.02/((B2/B4)^(0.4/1.4)*C4)))</f>
        <v>571.46449541832374</v>
      </c>
      <c r="D5" s="8" t="s">
        <v>5</v>
      </c>
      <c r="F5" s="16" t="s">
        <v>4</v>
      </c>
      <c r="G5" s="17" t="s">
        <v>10</v>
      </c>
      <c r="H5" s="18">
        <f>SQRT((G4-G2)/0.5/(G2/287.02/((G2/G4)^(0.4/1.4)*H4)))</f>
        <v>717.79104033496014</v>
      </c>
      <c r="I5" s="8" t="s">
        <v>5</v>
      </c>
    </row>
    <row r="6" spans="1:9" ht="15.75" thickBot="1" x14ac:dyDescent="0.3">
      <c r="A6" s="5" t="s">
        <v>11</v>
      </c>
      <c r="B6" s="3" t="s">
        <v>0</v>
      </c>
      <c r="C6" s="4" t="s">
        <v>1</v>
      </c>
      <c r="D6" s="6"/>
      <c r="F6" s="5" t="s">
        <v>28</v>
      </c>
      <c r="G6" s="3" t="s">
        <v>0</v>
      </c>
      <c r="H6" s="4" t="s">
        <v>1</v>
      </c>
      <c r="I6" s="6"/>
    </row>
    <row r="7" spans="1:9" x14ac:dyDescent="0.25">
      <c r="A7" s="27" t="s">
        <v>12</v>
      </c>
      <c r="B7" s="28">
        <f>B4</f>
        <v>285922.00311244279</v>
      </c>
      <c r="C7" s="29">
        <f>C4</f>
        <v>413.10648410293487</v>
      </c>
      <c r="D7" s="4"/>
      <c r="F7" s="27" t="s">
        <v>12</v>
      </c>
      <c r="G7" s="28">
        <f>G4</f>
        <v>393324.50700299628</v>
      </c>
      <c r="H7" s="29">
        <f>H4</f>
        <v>452.51650067358526</v>
      </c>
      <c r="I7" s="4"/>
    </row>
    <row r="8" spans="1:9" x14ac:dyDescent="0.25">
      <c r="A8" s="30" t="s">
        <v>13</v>
      </c>
      <c r="B8" s="11">
        <f>B7*9</f>
        <v>2573298.0280119851</v>
      </c>
      <c r="C8" s="12">
        <f>C7*((14^(0.4/1.4)-1)/0.85+1)</f>
        <v>960.11768828741572</v>
      </c>
      <c r="D8" s="31" t="s">
        <v>14</v>
      </c>
      <c r="F8" s="30" t="s">
        <v>13</v>
      </c>
      <c r="G8" s="11">
        <f>G7*9</f>
        <v>3539920.5630269665</v>
      </c>
      <c r="H8" s="12">
        <f>H7*((14^(0.4/1.4)-1)/0.85+1)</f>
        <v>1051.7121208641586</v>
      </c>
      <c r="I8" s="31" t="s">
        <v>14</v>
      </c>
    </row>
    <row r="9" spans="1:9" x14ac:dyDescent="0.25">
      <c r="A9" s="32" t="s">
        <v>16</v>
      </c>
      <c r="B9" s="33">
        <f>0.98*B8</f>
        <v>2521832.0674517453</v>
      </c>
      <c r="C9" s="34">
        <v>1800</v>
      </c>
      <c r="D9" s="34" t="s">
        <v>15</v>
      </c>
      <c r="F9" s="32" t="s">
        <v>16</v>
      </c>
      <c r="G9" s="33">
        <f>0.98*G8</f>
        <v>3469122.1517664273</v>
      </c>
      <c r="H9" s="34">
        <v>1800</v>
      </c>
      <c r="I9" s="34" t="s">
        <v>15</v>
      </c>
    </row>
    <row r="10" spans="1:9" ht="15.75" thickBot="1" x14ac:dyDescent="0.3">
      <c r="A10" s="23" t="s">
        <v>18</v>
      </c>
      <c r="B10" s="24">
        <f>((C9-C8+C7)/C9)^(1.4/0.4)*B9</f>
        <v>709704.48781661689</v>
      </c>
      <c r="C10" s="25">
        <f>C9-(C8-C7)/0.9</f>
        <v>1192.2097731283545</v>
      </c>
      <c r="D10" s="26" t="s">
        <v>17</v>
      </c>
      <c r="F10" s="23" t="s">
        <v>18</v>
      </c>
      <c r="G10" s="24">
        <f>((H9-H8+H7)/H9)^(1.4/0.4)*G9</f>
        <v>841237.73568184115</v>
      </c>
      <c r="H10" s="25">
        <f>H9-(H8-H7)/0.9</f>
        <v>1134.2270886771407</v>
      </c>
      <c r="I10" s="26" t="s">
        <v>17</v>
      </c>
    </row>
    <row r="11" spans="1:9" ht="15.75" thickBot="1" x14ac:dyDescent="0.3">
      <c r="A11" s="21" t="s">
        <v>19</v>
      </c>
      <c r="B11" s="19">
        <f>((C10-2*(C4-C3))/C10)^(1.4/0.4)*B10</f>
        <v>426104.19498900411</v>
      </c>
      <c r="C11" s="20">
        <f>C10-(C4-C3)*2/0.9</f>
        <v>1012.535745382777</v>
      </c>
      <c r="D11" s="22" t="s">
        <v>20</v>
      </c>
      <c r="F11" s="21" t="s">
        <v>19</v>
      </c>
      <c r="G11" s="19">
        <f>((H10-2*(H4-H3))/H10)^(1.4/0.4)*G10</f>
        <v>464311.4883178334</v>
      </c>
      <c r="H11" s="20">
        <f>H10-(H4-H3)*2/0.9</f>
        <v>937.412307437594</v>
      </c>
      <c r="I11" s="22" t="s">
        <v>20</v>
      </c>
    </row>
    <row r="12" spans="1:9" ht="15.75" thickBot="1" x14ac:dyDescent="0.3">
      <c r="A12" s="16" t="s">
        <v>21</v>
      </c>
      <c r="B12" s="17" t="s">
        <v>10</v>
      </c>
      <c r="C12" s="18">
        <f>SQRT((B11-B2)/0.5/(B2/287.02/((B2/B11)^(0.4/1.4)*C11)))</f>
        <v>1119.2410305501699</v>
      </c>
      <c r="D12" s="8" t="s">
        <v>22</v>
      </c>
      <c r="F12" s="16" t="s">
        <v>21</v>
      </c>
      <c r="G12" s="17" t="s">
        <v>10</v>
      </c>
      <c r="H12" s="18">
        <f>SQRT((G11-G2)/0.5/(G2/287.02/((G2/G11)^(0.4/1.4)*H11)))</f>
        <v>1124.3831971481654</v>
      </c>
      <c r="I12" s="8" t="s">
        <v>22</v>
      </c>
    </row>
    <row r="13" spans="1:9" ht="15.75" thickBot="1" x14ac:dyDescent="0.3">
      <c r="A13" s="40" t="s">
        <v>24</v>
      </c>
      <c r="B13" s="35" t="s">
        <v>10</v>
      </c>
      <c r="C13" s="41">
        <f>SQRT((B11-B2)/0.5/(B2/287.02/((B2/B11)^(0.4/1.4)*1400)))</f>
        <v>1316.0805126870946</v>
      </c>
      <c r="D13" s="2" t="s">
        <v>23</v>
      </c>
      <c r="F13" s="40" t="s">
        <v>24</v>
      </c>
      <c r="G13" s="35" t="s">
        <v>10</v>
      </c>
      <c r="H13" s="41">
        <f>SQRT((G11-G2)/0.5/(G2/287.02/((G2/G11)^(0.4/1.4)*1400)))</f>
        <v>1374.0832294566535</v>
      </c>
      <c r="I13" s="2" t="s">
        <v>23</v>
      </c>
    </row>
    <row r="14" spans="1:9" ht="15.75" thickBot="1" x14ac:dyDescent="0.3"/>
    <row r="15" spans="1:9" ht="15.75" thickBot="1" x14ac:dyDescent="0.3">
      <c r="A15" t="s">
        <v>11</v>
      </c>
      <c r="B15" s="1" t="s">
        <v>0</v>
      </c>
      <c r="C15" s="2" t="s">
        <v>1</v>
      </c>
      <c r="D15" s="37" t="s">
        <v>25</v>
      </c>
      <c r="F15" s="3" t="s">
        <v>27</v>
      </c>
      <c r="G15" s="1" t="s">
        <v>0</v>
      </c>
      <c r="H15" s="2" t="s">
        <v>1</v>
      </c>
      <c r="I15" s="42" t="s">
        <v>26</v>
      </c>
    </row>
    <row r="16" spans="1:9" x14ac:dyDescent="0.25">
      <c r="A16" s="9" t="s">
        <v>7</v>
      </c>
      <c r="B16" s="38">
        <v>100000</v>
      </c>
      <c r="C16" s="39">
        <v>300</v>
      </c>
      <c r="D16" s="9" t="s">
        <v>2</v>
      </c>
      <c r="F16" s="9" t="s">
        <v>7</v>
      </c>
      <c r="G16" s="38">
        <v>100000</v>
      </c>
      <c r="H16" s="39">
        <v>300</v>
      </c>
      <c r="I16" s="9" t="s">
        <v>2</v>
      </c>
    </row>
    <row r="17" spans="1:9" x14ac:dyDescent="0.25">
      <c r="A17" s="10" t="s">
        <v>8</v>
      </c>
      <c r="B17" s="11">
        <f>B16+0.5*(B16/C16/287.02)*(0.8*340)^2</f>
        <v>142961.0015562214</v>
      </c>
      <c r="C17" s="12">
        <f>(B17/B16)^(0.4/1.4)*C16</f>
        <v>332.25317161742498</v>
      </c>
      <c r="D17" s="10" t="s">
        <v>6</v>
      </c>
      <c r="F17" s="10" t="s">
        <v>8</v>
      </c>
      <c r="G17" s="11">
        <f>G16+0.5*(G16/H16/287.02)*(1.2*340)^2</f>
        <v>196662.25350149814</v>
      </c>
      <c r="H17" s="12">
        <f>(G17/G16)^(0.4/1.4)*H16</f>
        <v>363.94984911578922</v>
      </c>
      <c r="I17" s="10" t="s">
        <v>6</v>
      </c>
    </row>
    <row r="18" spans="1:9" ht="15.75" thickBot="1" x14ac:dyDescent="0.3">
      <c r="A18" s="13" t="s">
        <v>9</v>
      </c>
      <c r="B18" s="14">
        <f>B17*2</f>
        <v>285922.00311244279</v>
      </c>
      <c r="C18" s="15">
        <f>((2^(0.4/1.4)-1)/0.9+1)*C17</f>
        <v>413.10648410293487</v>
      </c>
      <c r="D18" s="13" t="s">
        <v>3</v>
      </c>
      <c r="F18" s="13" t="s">
        <v>9</v>
      </c>
      <c r="G18" s="14">
        <f>G17*2</f>
        <v>393324.50700299628</v>
      </c>
      <c r="H18" s="15">
        <f>((2^(0.4/1.4)-1)/0.9+1)*H17</f>
        <v>452.51650067358526</v>
      </c>
      <c r="I18" s="13" t="s">
        <v>3</v>
      </c>
    </row>
    <row r="19" spans="1:9" ht="15.75" thickBot="1" x14ac:dyDescent="0.3">
      <c r="A19" s="16" t="s">
        <v>4</v>
      </c>
      <c r="B19" s="17" t="s">
        <v>10</v>
      </c>
      <c r="C19" s="18">
        <f>SQRT((B18-B16)/0.5/(B16/287.02/((B16/B18)^(0.4/1.4)*C18)))</f>
        <v>571.46449541832374</v>
      </c>
      <c r="D19" s="8" t="s">
        <v>5</v>
      </c>
      <c r="F19" s="43" t="s">
        <v>29</v>
      </c>
      <c r="G19" s="44">
        <f>G18</f>
        <v>393324.50700299628</v>
      </c>
      <c r="H19" s="45">
        <v>1400</v>
      </c>
      <c r="I19" s="13"/>
    </row>
    <row r="20" spans="1:9" ht="15.75" thickBot="1" x14ac:dyDescent="0.3">
      <c r="A20" s="5" t="s">
        <v>11</v>
      </c>
      <c r="B20" s="3" t="s">
        <v>0</v>
      </c>
      <c r="C20" s="4" t="s">
        <v>1</v>
      </c>
      <c r="D20" s="6"/>
      <c r="F20" s="16" t="s">
        <v>4</v>
      </c>
      <c r="G20" s="17" t="s">
        <v>10</v>
      </c>
      <c r="H20" s="18">
        <f>SQRT((G18-G16)/0.5/(G16/287.02/((G16/G18)^(0.4/1.4)*H19)))</f>
        <v>1262.5391117734532</v>
      </c>
      <c r="I20" s="8" t="s">
        <v>30</v>
      </c>
    </row>
    <row r="21" spans="1:9" ht="15.75" thickBot="1" x14ac:dyDescent="0.3">
      <c r="A21" s="27" t="s">
        <v>12</v>
      </c>
      <c r="B21" s="28">
        <f>B18</f>
        <v>285922.00311244279</v>
      </c>
      <c r="C21" s="29">
        <f>C18</f>
        <v>413.10648410293487</v>
      </c>
      <c r="D21" s="4"/>
      <c r="F21" s="5" t="s">
        <v>28</v>
      </c>
      <c r="G21" s="3" t="s">
        <v>0</v>
      </c>
      <c r="H21" s="4" t="s">
        <v>1</v>
      </c>
      <c r="I21" s="6"/>
    </row>
    <row r="22" spans="1:9" x14ac:dyDescent="0.25">
      <c r="A22" s="30" t="s">
        <v>13</v>
      </c>
      <c r="B22" s="11">
        <f>B21*9</f>
        <v>2573298.0280119851</v>
      </c>
      <c r="C22" s="12">
        <f>C21*((14^(0.4/1.4)-1)/0.85+1)</f>
        <v>960.11768828741572</v>
      </c>
      <c r="D22" s="31" t="s">
        <v>14</v>
      </c>
      <c r="F22" s="27" t="s">
        <v>12</v>
      </c>
      <c r="G22" s="28">
        <f>G18</f>
        <v>393324.50700299628</v>
      </c>
      <c r="H22" s="29">
        <f>H18</f>
        <v>452.51650067358526</v>
      </c>
      <c r="I22" s="4"/>
    </row>
    <row r="23" spans="1:9" x14ac:dyDescent="0.25">
      <c r="A23" s="32" t="s">
        <v>16</v>
      </c>
      <c r="B23" s="33">
        <f>0.98*B22</f>
        <v>2521832.0674517453</v>
      </c>
      <c r="C23" s="34">
        <v>1550</v>
      </c>
      <c r="D23" s="34" t="s">
        <v>15</v>
      </c>
      <c r="F23" s="30" t="s">
        <v>13</v>
      </c>
      <c r="G23" s="11">
        <f>G22*9</f>
        <v>3539920.5630269665</v>
      </c>
      <c r="H23" s="12">
        <f>H22*((14^(0.4/1.4)-1)/0.85+1)</f>
        <v>1051.7121208641586</v>
      </c>
      <c r="I23" s="31" t="s">
        <v>14</v>
      </c>
    </row>
    <row r="24" spans="1:9" ht="15.75" thickBot="1" x14ac:dyDescent="0.3">
      <c r="A24" s="23" t="s">
        <v>18</v>
      </c>
      <c r="B24" s="24">
        <f>((C23-C22+C21)/C23)^(1.4/0.4)*B23</f>
        <v>549656.67324661859</v>
      </c>
      <c r="C24" s="25">
        <f>C23-(C22-C21)/0.9</f>
        <v>942.20977312835453</v>
      </c>
      <c r="D24" s="26" t="s">
        <v>17</v>
      </c>
      <c r="F24" s="32" t="s">
        <v>16</v>
      </c>
      <c r="G24" s="33">
        <f>0.98*G23</f>
        <v>3469122.1517664273</v>
      </c>
      <c r="H24" s="34">
        <v>1800</v>
      </c>
      <c r="I24" s="34" t="s">
        <v>15</v>
      </c>
    </row>
    <row r="25" spans="1:9" ht="15.75" thickBot="1" x14ac:dyDescent="0.3">
      <c r="A25" s="21" t="s">
        <v>19</v>
      </c>
      <c r="B25" s="19">
        <f>((C24-2*(C18-C17))/C24)^(1.4/0.4)*B24</f>
        <v>284371.58302121825</v>
      </c>
      <c r="C25" s="20">
        <f>C24-(C18-C17)*2/0.9</f>
        <v>762.53574538277701</v>
      </c>
      <c r="D25" s="22" t="s">
        <v>20</v>
      </c>
      <c r="F25" s="23" t="s">
        <v>18</v>
      </c>
      <c r="G25" s="24">
        <f>((H24-H23+H22)/H24)^(1.4/0.4)*G24</f>
        <v>841237.73568184115</v>
      </c>
      <c r="H25" s="25">
        <f>H24-(H23-H22)/0.9</f>
        <v>1134.2270886771407</v>
      </c>
      <c r="I25" s="26" t="s">
        <v>17</v>
      </c>
    </row>
    <row r="26" spans="1:9" ht="15.75" thickBot="1" x14ac:dyDescent="0.3">
      <c r="A26" s="16" t="s">
        <v>21</v>
      </c>
      <c r="B26" s="17" t="s">
        <v>10</v>
      </c>
      <c r="C26" s="18">
        <f>SQRT((B25-B16)/0.5/(B16/287.02/((B16/B25)^(0.4/1.4)*C25)))</f>
        <v>773.76180605235425</v>
      </c>
      <c r="D26" s="8" t="s">
        <v>22</v>
      </c>
      <c r="F26" s="21" t="s">
        <v>19</v>
      </c>
      <c r="G26" s="19">
        <f>((H25-2*(H18-H17))/H25)^(1.4/0.4)*G25</f>
        <v>464311.4883178334</v>
      </c>
      <c r="H26" s="20">
        <f>H25-(H18-H17)*2/0.9</f>
        <v>937.412307437594</v>
      </c>
      <c r="I26" s="22" t="s">
        <v>20</v>
      </c>
    </row>
    <row r="27" spans="1:9" ht="15.75" thickBot="1" x14ac:dyDescent="0.3">
      <c r="A27" s="40" t="s">
        <v>24</v>
      </c>
      <c r="B27" s="35" t="s">
        <v>10</v>
      </c>
      <c r="C27" s="41">
        <f>SQRT((B25-B16)/0.5/(B16/287.02/((B16/B25)^(0.4/1.4)*1400)))</f>
        <v>1048.4342572122637</v>
      </c>
      <c r="D27" s="2" t="s">
        <v>23</v>
      </c>
      <c r="F27" s="16" t="s">
        <v>21</v>
      </c>
      <c r="G27" s="17" t="s">
        <v>10</v>
      </c>
      <c r="H27" s="18">
        <f>SQRT((G26-G16)/0.5/(G16/287.02/((G16/G26)^(0.4/1.4)*H26)))</f>
        <v>1124.3831971481654</v>
      </c>
      <c r="I27" s="8" t="s">
        <v>22</v>
      </c>
    </row>
    <row r="28" spans="1:9" ht="15.75" thickBot="1" x14ac:dyDescent="0.3">
      <c r="F28" s="40" t="s">
        <v>24</v>
      </c>
      <c r="G28" s="35" t="s">
        <v>10</v>
      </c>
      <c r="H28" s="41">
        <f>SQRT((G26-G16)/0.5/(G16/287.02/((G16/G26)^(0.4/1.4)*1400)))</f>
        <v>1374.0832294566535</v>
      </c>
      <c r="I28" s="2" t="s">
        <v>23</v>
      </c>
    </row>
    <row r="29" spans="1:9" x14ac:dyDescent="0.25">
      <c r="C29">
        <f>(0.5*(C19+C26)-272)/(0.5*(H5+H13)-272)</f>
        <v>0.51763009251296943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J10" sqref="J10"/>
    </sheetView>
  </sheetViews>
  <sheetFormatPr baseColWidth="10" defaultRowHeight="15" x14ac:dyDescent="0.25"/>
  <cols>
    <col min="1" max="1" width="21.5703125" bestFit="1" customWidth="1"/>
    <col min="2" max="3" width="11.5703125" customWidth="1"/>
  </cols>
  <sheetData>
    <row r="1" spans="1:7" ht="15.75" thickBot="1" x14ac:dyDescent="0.3">
      <c r="B1" s="88" t="s">
        <v>25</v>
      </c>
      <c r="C1" s="89"/>
      <c r="D1" s="88" t="s">
        <v>26</v>
      </c>
      <c r="E1" s="89"/>
      <c r="F1" s="94" t="s">
        <v>25</v>
      </c>
      <c r="G1" s="89"/>
    </row>
    <row r="2" spans="1:7" ht="15.75" thickBot="1" x14ac:dyDescent="0.3">
      <c r="A2" s="8" t="s">
        <v>11</v>
      </c>
      <c r="B2" s="1" t="s">
        <v>0</v>
      </c>
      <c r="C2" s="2" t="s">
        <v>1</v>
      </c>
      <c r="D2" s="1" t="s">
        <v>0</v>
      </c>
      <c r="E2" s="2" t="s">
        <v>1</v>
      </c>
      <c r="F2" s="54" t="s">
        <v>0</v>
      </c>
      <c r="G2" s="2" t="s">
        <v>1</v>
      </c>
    </row>
    <row r="3" spans="1:7" ht="15.75" thickBot="1" x14ac:dyDescent="0.3">
      <c r="A3" s="9" t="s">
        <v>7</v>
      </c>
      <c r="B3" s="38">
        <v>100000</v>
      </c>
      <c r="C3" s="39">
        <v>300</v>
      </c>
      <c r="D3" s="50">
        <v>100000</v>
      </c>
      <c r="E3" s="51">
        <v>300</v>
      </c>
      <c r="F3" s="81">
        <v>100000</v>
      </c>
      <c r="G3" s="39">
        <v>300</v>
      </c>
    </row>
    <row r="4" spans="1:7" ht="16.5" thickTop="1" thickBot="1" x14ac:dyDescent="0.3">
      <c r="A4" s="10" t="s">
        <v>8</v>
      </c>
      <c r="B4" s="11">
        <f>B3+0.5*(B3/C3/287.02)*(0.8*340)^2</f>
        <v>142961.0015562214</v>
      </c>
      <c r="C4" s="12">
        <f>(B4/B3)^(0.4/1.4)*C3</f>
        <v>332.25317161742498</v>
      </c>
      <c r="D4" s="84">
        <f>D3+0.5*(D3/E3/287.02)*(1.2*340)^2</f>
        <v>196662.25350149814</v>
      </c>
      <c r="E4" s="85">
        <f>(D4/D3)^(0.4/1.4)*E3</f>
        <v>363.94984911578922</v>
      </c>
      <c r="F4" s="49">
        <f>F3+0.5*(F3/G3/287.02)*(0.8*340)^2</f>
        <v>142961.0015562214</v>
      </c>
      <c r="G4" s="12">
        <f>(F4/F3)^(0.4/1.4)*G3</f>
        <v>332.25317161742498</v>
      </c>
    </row>
    <row r="5" spans="1:7" ht="15.75" thickTop="1" x14ac:dyDescent="0.25">
      <c r="A5" s="13" t="s">
        <v>9</v>
      </c>
      <c r="B5" s="14">
        <f>B4*2</f>
        <v>285922.00311244279</v>
      </c>
      <c r="C5" s="15">
        <f>((2^(0.4/1.4)-1)/0.9+1)*C4</f>
        <v>413.10648410293487</v>
      </c>
      <c r="D5" s="14">
        <f>D4*2</f>
        <v>393324.50700299628</v>
      </c>
      <c r="E5" s="15">
        <f>((2^(0.4/1.4)-1)/0.9+1)*E4</f>
        <v>452.51650067358526</v>
      </c>
      <c r="F5" s="55">
        <f>F4*2</f>
        <v>285922.00311244279</v>
      </c>
      <c r="G5" s="15">
        <f>((2^(0.4/1.4)-1)/0.9+1)*G4</f>
        <v>413.10648410293487</v>
      </c>
    </row>
    <row r="6" spans="1:7" ht="15.75" thickBot="1" x14ac:dyDescent="0.3">
      <c r="A6" s="46"/>
      <c r="B6" s="47"/>
      <c r="C6" s="48"/>
      <c r="D6" s="47"/>
      <c r="E6" s="48"/>
      <c r="F6" s="56"/>
      <c r="G6" s="48"/>
    </row>
    <row r="7" spans="1:7" ht="15.75" thickBot="1" x14ac:dyDescent="0.3">
      <c r="A7" s="16" t="s">
        <v>4</v>
      </c>
      <c r="B7" s="17" t="s">
        <v>10</v>
      </c>
      <c r="C7" s="18">
        <f>SQRT((B5-B3)/0.5/(B3/287.02/((B3/B5)^(0.4/1.4)*C5)))</f>
        <v>571.46449541832374</v>
      </c>
      <c r="D7" s="17" t="s">
        <v>10</v>
      </c>
      <c r="E7" s="18">
        <f>SQRT((D5-D3)/0.5/(D3/287.02/((D3/D5)^(0.4/1.4)*E5)))</f>
        <v>717.79104033496014</v>
      </c>
      <c r="F7" s="57" t="s">
        <v>10</v>
      </c>
      <c r="G7" s="18">
        <f>SQRT((F5-F3)/0.5/(F3/287.02/((F3/F5)^(0.4/1.4)*G5)))</f>
        <v>571.46449541832374</v>
      </c>
    </row>
    <row r="8" spans="1:7" ht="15.75" thickBot="1" x14ac:dyDescent="0.3">
      <c r="A8" s="7" t="s">
        <v>11</v>
      </c>
      <c r="B8" s="3" t="s">
        <v>0</v>
      </c>
      <c r="C8" s="4" t="s">
        <v>1</v>
      </c>
      <c r="D8" s="3" t="s">
        <v>0</v>
      </c>
      <c r="E8" s="4" t="s">
        <v>1</v>
      </c>
      <c r="F8" s="53" t="s">
        <v>0</v>
      </c>
      <c r="G8" s="4" t="s">
        <v>1</v>
      </c>
    </row>
    <row r="9" spans="1:7" ht="15.75" thickBot="1" x14ac:dyDescent="0.3">
      <c r="A9" s="76" t="s">
        <v>12</v>
      </c>
      <c r="B9" s="28">
        <f t="shared" ref="B9:G9" si="0">B5</f>
        <v>285922.00311244279</v>
      </c>
      <c r="C9" s="29">
        <f t="shared" si="0"/>
        <v>413.10648410293487</v>
      </c>
      <c r="D9" s="28">
        <f t="shared" si="0"/>
        <v>393324.50700299628</v>
      </c>
      <c r="E9" s="29">
        <f t="shared" si="0"/>
        <v>452.51650067358526</v>
      </c>
      <c r="F9" s="58">
        <f t="shared" si="0"/>
        <v>285922.00311244279</v>
      </c>
      <c r="G9" s="29">
        <f t="shared" si="0"/>
        <v>413.10648410293487</v>
      </c>
    </row>
    <row r="10" spans="1:7" ht="16.5" thickTop="1" thickBot="1" x14ac:dyDescent="0.3">
      <c r="A10" s="10" t="s">
        <v>13</v>
      </c>
      <c r="B10" s="11">
        <f>B9*9</f>
        <v>2573298.0280119851</v>
      </c>
      <c r="C10" s="12">
        <f>C9*((14^(0.4/1.4)-1)/0.85+1)</f>
        <v>960.11768828741572</v>
      </c>
      <c r="D10" s="84">
        <f>D9*9</f>
        <v>3539920.5630269665</v>
      </c>
      <c r="E10" s="85">
        <f>E9*((14^(0.4/1.4)-1)/0.85+1)</f>
        <v>1051.7121208641586</v>
      </c>
      <c r="F10" s="49">
        <f>F9*9</f>
        <v>2573298.0280119851</v>
      </c>
      <c r="G10" s="12">
        <f>G9*((14^(0.4/1.4)-1)/0.85+1)</f>
        <v>960.11768828741572</v>
      </c>
    </row>
    <row r="11" spans="1:7" ht="15.75" thickTop="1" x14ac:dyDescent="0.25">
      <c r="A11" s="77" t="s">
        <v>16</v>
      </c>
      <c r="B11" s="33">
        <f>0.98*B10</f>
        <v>2521832.0674517453</v>
      </c>
      <c r="C11" s="34">
        <v>1800</v>
      </c>
      <c r="D11" s="33">
        <f>0.98*D10</f>
        <v>3469122.1517664273</v>
      </c>
      <c r="E11" s="34">
        <v>1800</v>
      </c>
      <c r="F11" s="59">
        <f>0.98*F10</f>
        <v>2521832.0674517453</v>
      </c>
      <c r="G11" s="34">
        <v>1540</v>
      </c>
    </row>
    <row r="12" spans="1:7" ht="15.75" thickBot="1" x14ac:dyDescent="0.3">
      <c r="A12" s="78" t="s">
        <v>18</v>
      </c>
      <c r="B12" s="24">
        <f>((C11-C10+C9)/C11)^(1.4/0.4)*B11</f>
        <v>709704.48781661689</v>
      </c>
      <c r="C12" s="25">
        <f>C11-(C10-C9)/0.9</f>
        <v>1192.2097731283545</v>
      </c>
      <c r="D12" s="24">
        <f>((E11-E10+E9)/E11)^(1.4/0.4)*D11</f>
        <v>841237.73568184115</v>
      </c>
      <c r="E12" s="25">
        <f>E11-(E10-E9)/0.9</f>
        <v>1134.2270886771407</v>
      </c>
      <c r="F12" s="60">
        <f>((G11-G10+G9)/G11)^(1.4/0.4)*F11</f>
        <v>542873.77056584938</v>
      </c>
      <c r="G12" s="25">
        <f>G11-(G10-G9)/0.9</f>
        <v>932.20977312835453</v>
      </c>
    </row>
    <row r="13" spans="1:7" ht="15.75" thickBot="1" x14ac:dyDescent="0.3">
      <c r="A13" s="79" t="s">
        <v>19</v>
      </c>
      <c r="B13" s="19">
        <f>((C12-2*(C5-C4))/C12)^(1.4/0.4)*B12</f>
        <v>426104.19498900411</v>
      </c>
      <c r="C13" s="20">
        <f>C12-(C5-C4)*2/0.9</f>
        <v>1012.535745382777</v>
      </c>
      <c r="D13" s="19">
        <f>((E12-2*(E5-E4))/E12)^(1.4/0.4)*D12</f>
        <v>464311.4883178334</v>
      </c>
      <c r="E13" s="20">
        <f>E12-(E5-E4)*2/0.9</f>
        <v>937.412307437594</v>
      </c>
      <c r="F13" s="61">
        <f>((G12-2*(G5-G4))/G12)^(1.4/0.4)*F12</f>
        <v>278683.68160680431</v>
      </c>
      <c r="G13" s="20">
        <f>G12-(G5-G4)*2/0.9</f>
        <v>752.53574538277701</v>
      </c>
    </row>
    <row r="14" spans="1:7" ht="15.75" thickBot="1" x14ac:dyDescent="0.3">
      <c r="A14" s="16" t="s">
        <v>21</v>
      </c>
      <c r="B14" s="17" t="s">
        <v>10</v>
      </c>
      <c r="C14" s="18">
        <f>SQRT((B13-B3)/0.5/(B3/287.02/((B3/B13)^(0.4/1.4)*C13)))</f>
        <v>1119.2410305501699</v>
      </c>
      <c r="D14" s="17" t="s">
        <v>10</v>
      </c>
      <c r="E14" s="18">
        <f>SQRT((D13-D3)/0.5/(D3/287.02/((D3/D13)^(0.4/1.4)*E13)))</f>
        <v>1124.3831971481654</v>
      </c>
      <c r="F14" s="57" t="s">
        <v>10</v>
      </c>
      <c r="G14" s="18">
        <f>SQRT((F13-F3)/0.5/(F3/287.02/((F3/F13)^(0.4/1.4)*G13)))</f>
        <v>758.90904339836129</v>
      </c>
    </row>
    <row r="15" spans="1:7" ht="15.75" thickBot="1" x14ac:dyDescent="0.3">
      <c r="A15" s="80" t="s">
        <v>35</v>
      </c>
      <c r="B15" s="52"/>
      <c r="C15" s="36"/>
      <c r="D15" s="52" t="s">
        <v>10</v>
      </c>
      <c r="E15" s="36">
        <f>SQRT((D13-D3)/0.5/(D3/287.02/((D3/D13)^(0.4/1.4)*1200)))</f>
        <v>1272.1538725913488</v>
      </c>
      <c r="F15" s="62"/>
      <c r="G15" s="36"/>
    </row>
    <row r="16" spans="1:7" x14ac:dyDescent="0.25">
      <c r="A16" s="90" t="s">
        <v>31</v>
      </c>
      <c r="B16" s="63" t="s">
        <v>32</v>
      </c>
      <c r="C16" s="64">
        <f>(0.5*C7+0.5*C14)-0.8*340</f>
        <v>573.35276298424674</v>
      </c>
      <c r="D16" s="86" t="s">
        <v>32</v>
      </c>
      <c r="E16" s="69">
        <f>(0.5*E7+0.5*E14)-1.2*340</f>
        <v>513.08711874156279</v>
      </c>
      <c r="F16" s="65" t="s">
        <v>32</v>
      </c>
      <c r="G16" s="64">
        <f>(0.5*G7+0.5*G14)-0.8*340</f>
        <v>393.18676940834257</v>
      </c>
    </row>
    <row r="17" spans="1:7" ht="15.75" thickBot="1" x14ac:dyDescent="0.3">
      <c r="A17" s="91"/>
      <c r="B17" s="66"/>
      <c r="C17" s="67"/>
      <c r="D17" s="87" t="s">
        <v>33</v>
      </c>
      <c r="E17" s="70">
        <f>(0.5*E7+0.5*E15)-1.2*340</f>
        <v>586.97245646315446</v>
      </c>
      <c r="F17" s="68"/>
      <c r="G17" s="67"/>
    </row>
    <row r="18" spans="1:7" x14ac:dyDescent="0.25">
      <c r="A18" s="92" t="s">
        <v>34</v>
      </c>
      <c r="B18" s="71"/>
      <c r="C18" s="72">
        <f>C16*0.8*340/(0.25*(C7^2+C14^2)-0.5*(0.8*340)^2)</f>
        <v>0.43583175832165061</v>
      </c>
      <c r="D18" s="71"/>
      <c r="E18" s="72">
        <f>E16*1.2*340/(0.25*(E7^2+E14^2)-0.5*(1.2*340)^2)</f>
        <v>0.57887228184356432</v>
      </c>
      <c r="F18" s="82"/>
      <c r="G18" s="72">
        <f>G16*0.8*340/(0.25*(G7^2+G14^2)-0.5*(0.8*340)^2)</f>
        <v>0.56694603341735894</v>
      </c>
    </row>
    <row r="19" spans="1:7" ht="15.75" thickBot="1" x14ac:dyDescent="0.3">
      <c r="A19" s="93"/>
      <c r="B19" s="73"/>
      <c r="C19" s="74"/>
      <c r="D19" s="73"/>
      <c r="E19" s="75">
        <f>E16*1.2*340/(0.25*(E7^2+E15^2)-0.5*(1.2*340)^2)</f>
        <v>0.46502551941315901</v>
      </c>
      <c r="F19" s="83"/>
      <c r="G19" s="74"/>
    </row>
  </sheetData>
  <mergeCells count="5">
    <mergeCell ref="B1:C1"/>
    <mergeCell ref="D1:E1"/>
    <mergeCell ref="A16:A17"/>
    <mergeCell ref="A18:A19"/>
    <mergeCell ref="F1:G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High BPR </vt:lpstr>
      <vt:lpstr>Low BPR + afterburn</vt:lpstr>
      <vt:lpstr>Feuil2</vt:lpstr>
      <vt:lpstr>Feuil3</vt:lpstr>
    </vt:vector>
  </TitlesOfParts>
  <Company>Techspace Aero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PRINCIVALLE Remy (SAFRAN AERO BOOSTERS)</dc:creator>
  <cp:lastModifiedBy>PRINCIVALLE Remy (SAFRAN AERO BOOSTERS)</cp:lastModifiedBy>
  <dcterms:created xsi:type="dcterms:W3CDTF">2017-09-25T19:05:42Z</dcterms:created>
  <dcterms:modified xsi:type="dcterms:W3CDTF">2018-09-23T12:51:37Z</dcterms:modified>
</cp:coreProperties>
</file>